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8000" activeTab="0"/>
  </bookViews>
  <sheets>
    <sheet name="Tech. vertinimas" sheetId="1" r:id="rId1"/>
    <sheet name="Ekonom. naudingumas" sheetId="2" r:id="rId2"/>
  </sheets>
  <definedNames/>
  <calcPr fullCalcOnLoad="1"/>
</workbook>
</file>

<file path=xl/sharedStrings.xml><?xml version="1.0" encoding="utf-8"?>
<sst xmlns="http://schemas.openxmlformats.org/spreadsheetml/2006/main" count="168" uniqueCount="74">
  <si>
    <t>X</t>
  </si>
  <si>
    <t xml:space="preserve"> - </t>
  </si>
  <si>
    <t>Pasiūlymas Nr.1</t>
  </si>
  <si>
    <t>Pasiūlymas Nr.2</t>
  </si>
  <si>
    <t>Pasiūlymas Nr.3</t>
  </si>
  <si>
    <t>Pasiūlymas Nr.4</t>
  </si>
  <si>
    <r>
      <t>T</t>
    </r>
    <r>
      <rPr>
        <b/>
        <vertAlign val="subscript"/>
        <sz val="10"/>
        <rFont val="Arial"/>
        <family val="2"/>
      </rPr>
      <t>1p</t>
    </r>
  </si>
  <si>
    <r>
      <t>T</t>
    </r>
    <r>
      <rPr>
        <b/>
        <vertAlign val="subscript"/>
        <sz val="10"/>
        <rFont val="Arial"/>
        <family val="2"/>
      </rPr>
      <t>2p</t>
    </r>
  </si>
  <si>
    <r>
      <t>T</t>
    </r>
    <r>
      <rPr>
        <b/>
        <vertAlign val="subscript"/>
        <sz val="10"/>
        <rFont val="Arial"/>
        <family val="2"/>
      </rPr>
      <t>1</t>
    </r>
  </si>
  <si>
    <r>
      <t>T</t>
    </r>
    <r>
      <rPr>
        <b/>
        <vertAlign val="subscript"/>
        <sz val="10"/>
        <rFont val="Arial"/>
        <family val="2"/>
      </rPr>
      <t>2</t>
    </r>
  </si>
  <si>
    <t>T</t>
  </si>
  <si>
    <r>
      <t>C</t>
    </r>
    <r>
      <rPr>
        <b/>
        <vertAlign val="subscript"/>
        <sz val="10"/>
        <rFont val="Arial"/>
        <family val="2"/>
      </rPr>
      <t>p</t>
    </r>
  </si>
  <si>
    <t>C</t>
  </si>
  <si>
    <t>S</t>
  </si>
  <si>
    <t>T1p</t>
  </si>
  <si>
    <t>T2p</t>
  </si>
  <si>
    <t>T4p</t>
  </si>
  <si>
    <t>Techninio kriterijaus reikšmė (vid.)</t>
  </si>
  <si>
    <t>Lyginamasis svoris ekonominio naudingumo įvertinime</t>
  </si>
  <si>
    <t>Vertinimo kriterijai</t>
  </si>
  <si>
    <t>Nr. 1</t>
  </si>
  <si>
    <t>Nr. 2</t>
  </si>
  <si>
    <t>Nr. 3</t>
  </si>
  <si>
    <t>Nr. 4</t>
  </si>
  <si>
    <t>Nr. 5</t>
  </si>
  <si>
    <t>Nr. 6</t>
  </si>
  <si>
    <t>Nr. 7</t>
  </si>
  <si>
    <t>Pasiūlymas Nr. 1</t>
  </si>
  <si>
    <t>Pasiūlymas Nr. 2</t>
  </si>
  <si>
    <t>Pasiūlymas Nr. 3</t>
  </si>
  <si>
    <t>Pasiūlymas Nr. 4</t>
  </si>
  <si>
    <t>Techninio kriterijaus reikšmė (vid.)/mėn*</t>
  </si>
  <si>
    <t>Pasiūlymo kaina</t>
  </si>
  <si>
    <t>Ekonominis naudingumas (C+T)</t>
  </si>
  <si>
    <t>Pasiūlymo kainos balas (Cmin/Cp*X)</t>
  </si>
  <si>
    <t>Techninio kriterijaus balas (Tip/Timax*Yi) arba (Timin /Tip *Yi)</t>
  </si>
  <si>
    <t>T5p</t>
  </si>
  <si>
    <t>Pasiūlymų skaičius</t>
  </si>
  <si>
    <t>Ekonominio naudingumo vertinimo lentelė</t>
  </si>
  <si>
    <t>Techninio vertinimo lentelė</t>
  </si>
  <si>
    <t>Pasiūlymų vertinimo kriterijai</t>
  </si>
  <si>
    <t xml:space="preserve">Kaina </t>
  </si>
  <si>
    <r>
      <t>T</t>
    </r>
    <r>
      <rPr>
        <vertAlign val="subscript"/>
        <sz val="10"/>
        <rFont val="Arial"/>
        <family val="2"/>
      </rPr>
      <t>5</t>
    </r>
  </si>
  <si>
    <t>Komisijos narių vertinimas balais</t>
  </si>
  <si>
    <t>Techninis balas (T1+ T2+ T3+...)</t>
  </si>
  <si>
    <t>Pasiūlymas Nr. 5</t>
  </si>
  <si>
    <t>Pasiūlymas Nr. 6</t>
  </si>
  <si>
    <t>Pasiūlymas Nr. 7</t>
  </si>
  <si>
    <t>Pasiūlymas Nr.5</t>
  </si>
  <si>
    <t>Pasiūlymas Nr.6</t>
  </si>
  <si>
    <t>Pasiūlymas Nr.7</t>
  </si>
  <si>
    <t>-</t>
  </si>
  <si>
    <t>T1</t>
  </si>
  <si>
    <t>T2</t>
  </si>
  <si>
    <t>T3</t>
  </si>
  <si>
    <t>T4</t>
  </si>
  <si>
    <t>T5</t>
  </si>
  <si>
    <t>T6</t>
  </si>
  <si>
    <t>T3p</t>
  </si>
  <si>
    <t>T6p</t>
  </si>
  <si>
    <r>
      <t>T</t>
    </r>
    <r>
      <rPr>
        <b/>
        <vertAlign val="subscript"/>
        <sz val="10"/>
        <rFont val="Arial"/>
        <family val="2"/>
      </rPr>
      <t>3p</t>
    </r>
  </si>
  <si>
    <r>
      <t>T</t>
    </r>
    <r>
      <rPr>
        <vertAlign val="subscript"/>
        <sz val="10"/>
        <rFont val="Arial"/>
        <family val="2"/>
      </rPr>
      <t>4</t>
    </r>
    <r>
      <rPr>
        <b/>
        <vertAlign val="subscript"/>
        <sz val="10"/>
        <rFont val="Arial"/>
        <family val="2"/>
      </rPr>
      <t>p</t>
    </r>
  </si>
  <si>
    <r>
      <t>T</t>
    </r>
    <r>
      <rPr>
        <b/>
        <vertAlign val="subscript"/>
        <sz val="10"/>
        <rFont val="Arial"/>
        <family val="2"/>
      </rPr>
      <t>5p</t>
    </r>
  </si>
  <si>
    <r>
      <t>T</t>
    </r>
    <r>
      <rPr>
        <b/>
        <vertAlign val="subscript"/>
        <sz val="10"/>
        <rFont val="Arial"/>
        <family val="2"/>
      </rPr>
      <t>6p</t>
    </r>
  </si>
  <si>
    <r>
      <t>T</t>
    </r>
    <r>
      <rPr>
        <b/>
        <vertAlign val="subscript"/>
        <sz val="10"/>
        <rFont val="Arial"/>
        <family val="2"/>
      </rPr>
      <t>3</t>
    </r>
  </si>
  <si>
    <r>
      <t>T</t>
    </r>
    <r>
      <rPr>
        <vertAlign val="subscript"/>
        <sz val="10"/>
        <rFont val="Arial"/>
        <family val="2"/>
      </rPr>
      <t>4</t>
    </r>
  </si>
  <si>
    <r>
      <t>T</t>
    </r>
    <r>
      <rPr>
        <b/>
        <vertAlign val="subscript"/>
        <sz val="10"/>
        <rFont val="Arial"/>
        <family val="2"/>
      </rPr>
      <t>6</t>
    </r>
  </si>
  <si>
    <t>Kriterijus T4 (didžiausia reikšmė geriausia)</t>
  </si>
  <si>
    <t>Kriterijus T3 (didžiausia reikšmė geriausia)</t>
  </si>
  <si>
    <t>Kriterijus T1 (didžiausia reikšmė geriausia)</t>
  </si>
  <si>
    <t>Kriterijus T2 (didžiausia reikšmė geriausia)</t>
  </si>
  <si>
    <r>
      <t>Kriterijus T5 (</t>
    </r>
    <r>
      <rPr>
        <b/>
        <sz val="10"/>
        <rFont val="Arial"/>
        <family val="2"/>
      </rPr>
      <t>mažiausia</t>
    </r>
    <r>
      <rPr>
        <sz val="10"/>
        <rFont val="Arial"/>
        <family val="0"/>
      </rPr>
      <t xml:space="preserve"> reikšmė geriausia)</t>
    </r>
  </si>
  <si>
    <r>
      <t>Kriterijus T6 (</t>
    </r>
    <r>
      <rPr>
        <b/>
        <sz val="10"/>
        <rFont val="Arial"/>
        <family val="2"/>
      </rPr>
      <t>mažiausia</t>
    </r>
    <r>
      <rPr>
        <sz val="10"/>
        <rFont val="Arial"/>
        <family val="0"/>
      </rPr>
      <t xml:space="preserve"> reikšmė geriausia)</t>
    </r>
  </si>
  <si>
    <t>Maksimali leistina kriterijaus T6 reikšmė</t>
  </si>
</sst>
</file>

<file path=xl/styles.xml><?xml version="1.0" encoding="utf-8"?>
<styleSheet xmlns="http://schemas.openxmlformats.org/spreadsheetml/2006/main">
  <numFmts count="5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LTL&quot;;\-#,##0\ &quot;LTL&quot;"/>
    <numFmt numFmtId="165" formatCode="#,##0\ &quot;LTL&quot;;[Red]\-#,##0\ &quot;LTL&quot;"/>
    <numFmt numFmtId="166" formatCode="#,##0.00\ &quot;LTL&quot;;\-#,##0.00\ &quot;LTL&quot;"/>
    <numFmt numFmtId="167" formatCode="#,##0.00\ &quot;LTL&quot;;[Red]\-#,##0.00\ &quot;LTL&quot;"/>
    <numFmt numFmtId="168" formatCode="_-* #,##0\ &quot;LTL&quot;_-;\-* #,##0\ &quot;LTL&quot;_-;_-* &quot;-&quot;\ &quot;LTL&quot;_-;_-@_-"/>
    <numFmt numFmtId="169" formatCode="_-* #,##0\ _L_T_L_-;\-* #,##0\ _L_T_L_-;_-* &quot;-&quot;\ _L_T_L_-;_-@_-"/>
    <numFmt numFmtId="170" formatCode="_-* #,##0.00\ &quot;LTL&quot;_-;\-* #,##0.00\ &quot;LTL&quot;_-;_-* &quot;-&quot;??\ &quot;LTL&quot;_-;_-@_-"/>
    <numFmt numFmtId="171" formatCode="_-* #,##0.00\ _L_T_L_-;\-* #,##0.00\ _L_T_L_-;_-* &quot;-&quot;??\ _L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LTL&quot;#,##0_);\(&quot;LTL&quot;#,##0\)"/>
    <numFmt numFmtId="195" formatCode="&quot;LTL&quot;#,##0_);[Red]\(&quot;LTL&quot;#,##0\)"/>
    <numFmt numFmtId="196" formatCode="&quot;LTL&quot;#,##0.00_);\(&quot;LTL&quot;#,##0.00\)"/>
    <numFmt numFmtId="197" formatCode="&quot;LTL&quot;#,##0.00_);[Red]\(&quot;LTL&quot;#,##0.00\)"/>
    <numFmt numFmtId="198" formatCode="_(&quot;LTL&quot;* #,##0_);_(&quot;LTL&quot;* \(#,##0\);_(&quot;LTL&quot;* &quot;-&quot;_);_(@_)"/>
    <numFmt numFmtId="199" formatCode="_(&quot;LTL&quot;* #,##0.00_);_(&quot;LTL&quot;* \(#,##0.00\);_(&quot;LTL&quot;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09]dddd\,\ mmmm\ dd\,\ yyyy"/>
    <numFmt numFmtId="205" formatCode="yyyy\-mm\-dd;@"/>
    <numFmt numFmtId="206" formatCode="mmm\-yyyy"/>
    <numFmt numFmtId="207" formatCode="0.000"/>
    <numFmt numFmtId="208" formatCode="yyyy\.mm\.dd;@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5D9F9"/>
        <bgColor indexed="64"/>
      </patternFill>
    </fill>
    <fill>
      <patternFill patternType="solid">
        <fgColor rgb="FFF19545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0" xfId="0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1" fillId="0" borderId="29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32" xfId="0" applyFont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1" fillId="0" borderId="41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horizontal="center"/>
      <protection/>
    </xf>
    <xf numFmtId="0" fontId="0" fillId="0" borderId="43" xfId="0" applyFont="1" applyBorder="1" applyAlignment="1" applyProtection="1">
      <alignment horizontal="center" wrapText="1"/>
      <protection/>
    </xf>
    <xf numFmtId="0" fontId="1" fillId="0" borderId="44" xfId="0" applyFont="1" applyBorder="1" applyAlignment="1" applyProtection="1">
      <alignment horizontal="center"/>
      <protection/>
    </xf>
    <xf numFmtId="0" fontId="0" fillId="0" borderId="45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0" fillId="0" borderId="49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 wrapText="1"/>
      <protection/>
    </xf>
    <xf numFmtId="0" fontId="0" fillId="0" borderId="50" xfId="0" applyBorder="1" applyAlignment="1" applyProtection="1">
      <alignment horizontal="center" wrapText="1"/>
      <protection/>
    </xf>
    <xf numFmtId="0" fontId="1" fillId="0" borderId="51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2" xfId="0" applyFont="1" applyBorder="1" applyAlignment="1">
      <alignment horizontal="center" wrapText="1"/>
    </xf>
    <xf numFmtId="0" fontId="0" fillId="0" borderId="54" xfId="0" applyFont="1" applyBorder="1" applyAlignment="1">
      <alignment horizontal="center" wrapText="1"/>
    </xf>
    <xf numFmtId="0" fontId="0" fillId="0" borderId="5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5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0" fillId="33" borderId="43" xfId="0" applyFont="1" applyFill="1" applyBorder="1" applyAlignment="1" applyProtection="1">
      <alignment horizontal="right"/>
      <protection locked="0"/>
    </xf>
    <xf numFmtId="0" fontId="0" fillId="33" borderId="43" xfId="0" applyFont="1" applyFill="1" applyBorder="1" applyAlignment="1" applyProtection="1">
      <alignment/>
      <protection locked="0"/>
    </xf>
    <xf numFmtId="0" fontId="0" fillId="33" borderId="58" xfId="0" applyFill="1" applyBorder="1" applyAlignment="1" applyProtection="1">
      <alignment horizontal="center"/>
      <protection locked="0"/>
    </xf>
    <xf numFmtId="0" fontId="0" fillId="33" borderId="59" xfId="0" applyFill="1" applyBorder="1" applyAlignment="1" applyProtection="1">
      <alignment horizontal="center"/>
      <protection locked="0"/>
    </xf>
    <xf numFmtId="0" fontId="0" fillId="33" borderId="37" xfId="0" applyFill="1" applyBorder="1" applyAlignment="1" applyProtection="1">
      <alignment horizontal="center"/>
      <protection locked="0"/>
    </xf>
    <xf numFmtId="0" fontId="0" fillId="33" borderId="22" xfId="0" applyFont="1" applyFill="1" applyBorder="1" applyAlignment="1" applyProtection="1">
      <alignment horizontal="center"/>
      <protection locked="0"/>
    </xf>
    <xf numFmtId="0" fontId="0" fillId="33" borderId="33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60" xfId="0" applyFont="1" applyFill="1" applyBorder="1" applyAlignment="1" applyProtection="1">
      <alignment horizontal="center"/>
      <protection locked="0"/>
    </xf>
    <xf numFmtId="0" fontId="0" fillId="33" borderId="61" xfId="0" applyFill="1" applyBorder="1" applyAlignment="1" applyProtection="1">
      <alignment horizontal="center"/>
      <protection locked="0"/>
    </xf>
    <xf numFmtId="0" fontId="0" fillId="33" borderId="32" xfId="0" applyFill="1" applyBorder="1" applyAlignment="1" applyProtection="1">
      <alignment horizontal="center"/>
      <protection locked="0"/>
    </xf>
    <xf numFmtId="0" fontId="0" fillId="33" borderId="60" xfId="0" applyFill="1" applyBorder="1" applyAlignment="1" applyProtection="1">
      <alignment horizontal="center"/>
      <protection locked="0"/>
    </xf>
    <xf numFmtId="0" fontId="0" fillId="33" borderId="62" xfId="0" applyFill="1" applyBorder="1" applyAlignment="1" applyProtection="1">
      <alignment horizontal="center"/>
      <protection locked="0"/>
    </xf>
    <xf numFmtId="0" fontId="0" fillId="33" borderId="63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42" xfId="0" applyFill="1" applyBorder="1" applyAlignment="1" applyProtection="1">
      <alignment horizontal="center"/>
      <protection locked="0"/>
    </xf>
    <xf numFmtId="0" fontId="0" fillId="33" borderId="55" xfId="0" applyFill="1" applyBorder="1" applyAlignment="1" applyProtection="1">
      <alignment/>
      <protection locked="0"/>
    </xf>
    <xf numFmtId="0" fontId="0" fillId="33" borderId="30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64" xfId="0" applyFill="1" applyBorder="1" applyAlignment="1" applyProtection="1">
      <alignment/>
      <protection locked="0"/>
    </xf>
    <xf numFmtId="0" fontId="0" fillId="33" borderId="33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33" borderId="56" xfId="0" applyFill="1" applyBorder="1" applyAlignment="1" applyProtection="1">
      <alignment horizontal="center"/>
      <protection locked="0"/>
    </xf>
    <xf numFmtId="0" fontId="0" fillId="33" borderId="59" xfId="0" applyFill="1" applyBorder="1" applyAlignment="1" applyProtection="1">
      <alignment/>
      <protection locked="0"/>
    </xf>
    <xf numFmtId="0" fontId="0" fillId="33" borderId="37" xfId="0" applyFill="1" applyBorder="1" applyAlignment="1" applyProtection="1">
      <alignment/>
      <protection locked="0"/>
    </xf>
    <xf numFmtId="0" fontId="0" fillId="33" borderId="42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33" borderId="52" xfId="0" applyFill="1" applyBorder="1" applyAlignment="1" applyProtection="1">
      <alignment/>
      <protection locked="0"/>
    </xf>
    <xf numFmtId="0" fontId="0" fillId="33" borderId="54" xfId="0" applyFill="1" applyBorder="1" applyAlignment="1" applyProtection="1">
      <alignment/>
      <protection locked="0"/>
    </xf>
    <xf numFmtId="0" fontId="0" fillId="33" borderId="65" xfId="0" applyFill="1" applyBorder="1" applyAlignment="1" applyProtection="1">
      <alignment/>
      <protection locked="0"/>
    </xf>
    <xf numFmtId="0" fontId="0" fillId="33" borderId="53" xfId="0" applyFill="1" applyBorder="1" applyAlignment="1" applyProtection="1">
      <alignment/>
      <protection locked="0"/>
    </xf>
    <xf numFmtId="0" fontId="0" fillId="34" borderId="52" xfId="0" applyFill="1" applyBorder="1" applyAlignment="1" applyProtection="1">
      <alignment/>
      <protection/>
    </xf>
    <xf numFmtId="0" fontId="0" fillId="34" borderId="54" xfId="0" applyFill="1" applyBorder="1" applyAlignment="1" applyProtection="1">
      <alignment/>
      <protection/>
    </xf>
    <xf numFmtId="0" fontId="0" fillId="34" borderId="65" xfId="0" applyFill="1" applyBorder="1" applyAlignment="1" applyProtection="1">
      <alignment/>
      <protection/>
    </xf>
    <xf numFmtId="0" fontId="0" fillId="34" borderId="53" xfId="0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62"/>
  <sheetViews>
    <sheetView showGridLines="0" tabSelected="1" zoomScale="180" zoomScaleNormal="180" zoomScalePageLayoutView="0" workbookViewId="0" topLeftCell="A1">
      <selection activeCell="C25" sqref="C25"/>
    </sheetView>
  </sheetViews>
  <sheetFormatPr defaultColWidth="8.8515625" defaultRowHeight="12.75"/>
  <cols>
    <col min="1" max="1" width="36.421875" style="0" customWidth="1"/>
    <col min="2" max="2" width="5.7109375" style="0" customWidth="1"/>
    <col min="3" max="3" width="18.140625" style="0" customWidth="1"/>
  </cols>
  <sheetData>
    <row r="2" spans="1:7" ht="12.75">
      <c r="A2" s="77" t="s">
        <v>40</v>
      </c>
      <c r="B2" s="77"/>
      <c r="C2" s="77"/>
      <c r="D2" s="77"/>
      <c r="E2" s="77"/>
      <c r="F2" s="77"/>
      <c r="G2" s="77"/>
    </row>
    <row r="3" ht="13.5" thickBot="1"/>
    <row r="4" spans="1:5" ht="25.5" customHeight="1" thickBot="1">
      <c r="A4" s="72" t="s">
        <v>19</v>
      </c>
      <c r="B4" s="73"/>
      <c r="C4" s="74" t="s">
        <v>18</v>
      </c>
      <c r="D4" s="75"/>
      <c r="E4" s="76"/>
    </row>
    <row r="5" spans="1:5" ht="12.75">
      <c r="A5" s="12" t="s">
        <v>41</v>
      </c>
      <c r="B5" s="13" t="s">
        <v>0</v>
      </c>
      <c r="C5" s="91">
        <v>20</v>
      </c>
      <c r="D5" s="92"/>
      <c r="E5" s="93"/>
    </row>
    <row r="6" spans="1:5" ht="12.75">
      <c r="A6" s="18" t="s">
        <v>69</v>
      </c>
      <c r="B6" s="17" t="s">
        <v>52</v>
      </c>
      <c r="C6" s="94">
        <v>0</v>
      </c>
      <c r="D6" s="95"/>
      <c r="E6" s="96"/>
    </row>
    <row r="7" spans="1:5" ht="12.75">
      <c r="A7" s="18" t="s">
        <v>70</v>
      </c>
      <c r="B7" s="17" t="s">
        <v>53</v>
      </c>
      <c r="C7" s="94">
        <v>0</v>
      </c>
      <c r="D7" s="95"/>
      <c r="E7" s="96"/>
    </row>
    <row r="8" spans="1:5" ht="12.75">
      <c r="A8" s="18" t="s">
        <v>68</v>
      </c>
      <c r="B8" s="17" t="s">
        <v>54</v>
      </c>
      <c r="C8" s="94">
        <v>0</v>
      </c>
      <c r="D8" s="95"/>
      <c r="E8" s="96"/>
    </row>
    <row r="9" spans="1:5" ht="12.75">
      <c r="A9" s="18" t="s">
        <v>67</v>
      </c>
      <c r="B9" s="17" t="s">
        <v>55</v>
      </c>
      <c r="C9" s="97">
        <v>0</v>
      </c>
      <c r="D9" s="98"/>
      <c r="E9" s="99"/>
    </row>
    <row r="10" spans="1:5" ht="12.75">
      <c r="A10" s="21" t="s">
        <v>71</v>
      </c>
      <c r="B10" s="19" t="s">
        <v>56</v>
      </c>
      <c r="C10" s="100">
        <v>80</v>
      </c>
      <c r="D10" s="98"/>
      <c r="E10" s="99"/>
    </row>
    <row r="11" spans="1:5" ht="13.5" thickBot="1">
      <c r="A11" s="22" t="s">
        <v>72</v>
      </c>
      <c r="B11" s="20" t="s">
        <v>57</v>
      </c>
      <c r="C11" s="101">
        <v>0</v>
      </c>
      <c r="D11" s="102"/>
      <c r="E11" s="103"/>
    </row>
    <row r="12" spans="1:5" ht="13.5" thickBot="1">
      <c r="A12" s="10"/>
      <c r="B12" s="10"/>
      <c r="C12" s="5"/>
      <c r="D12" s="5"/>
      <c r="E12" s="5"/>
    </row>
    <row r="13" spans="1:5" ht="13.5" thickBot="1">
      <c r="A13" s="14" t="s">
        <v>37</v>
      </c>
      <c r="B13" s="89">
        <v>2</v>
      </c>
      <c r="C13" s="5"/>
      <c r="D13" s="5"/>
      <c r="E13" s="5"/>
    </row>
    <row r="14" spans="1:2" ht="13.5" thickBot="1">
      <c r="A14" s="23" t="s">
        <v>73</v>
      </c>
      <c r="B14" s="90" t="s">
        <v>51</v>
      </c>
    </row>
    <row r="15" spans="1:2" ht="12.75">
      <c r="A15" s="1"/>
      <c r="B15" s="1"/>
    </row>
    <row r="16" spans="1:2" ht="12.75">
      <c r="A16" s="1"/>
      <c r="B16" s="1"/>
    </row>
    <row r="17" spans="1:7" ht="12.75">
      <c r="A17" s="77" t="s">
        <v>39</v>
      </c>
      <c r="B17" s="77"/>
      <c r="C17" s="77"/>
      <c r="D17" s="77"/>
      <c r="E17" s="77"/>
      <c r="F17" s="77"/>
      <c r="G17" s="77"/>
    </row>
    <row r="18" ht="13.5" thickBot="1"/>
    <row r="19" spans="3:10" ht="12.75">
      <c r="C19" s="81" t="s">
        <v>31</v>
      </c>
      <c r="D19" s="78" t="s">
        <v>43</v>
      </c>
      <c r="E19" s="79"/>
      <c r="F19" s="79"/>
      <c r="G19" s="79"/>
      <c r="H19" s="79"/>
      <c r="I19" s="79"/>
      <c r="J19" s="80"/>
    </row>
    <row r="20" spans="3:10" ht="13.5" thickBot="1">
      <c r="C20" s="82"/>
      <c r="D20" s="4" t="s">
        <v>20</v>
      </c>
      <c r="E20" s="2" t="s">
        <v>21</v>
      </c>
      <c r="F20" s="2" t="s">
        <v>22</v>
      </c>
      <c r="G20" s="2" t="s">
        <v>23</v>
      </c>
      <c r="H20" s="2" t="s">
        <v>24</v>
      </c>
      <c r="I20" s="2" t="s">
        <v>25</v>
      </c>
      <c r="J20" s="3" t="s">
        <v>26</v>
      </c>
    </row>
    <row r="21" spans="1:10" ht="12.75">
      <c r="A21" s="68" t="s">
        <v>27</v>
      </c>
      <c r="B21" s="17" t="s">
        <v>14</v>
      </c>
      <c r="C21" s="6" t="str">
        <f>IF(C6=0,"-",AVERAGE(D21:J21))</f>
        <v>-</v>
      </c>
      <c r="D21" s="106"/>
      <c r="E21" s="107"/>
      <c r="F21" s="107"/>
      <c r="G21" s="107"/>
      <c r="H21" s="107"/>
      <c r="I21" s="107"/>
      <c r="J21" s="108"/>
    </row>
    <row r="22" spans="1:10" ht="12.75">
      <c r="A22" s="69"/>
      <c r="B22" s="17" t="s">
        <v>15</v>
      </c>
      <c r="C22" s="6" t="str">
        <f>IF(C7=0,"-",AVERAGE(D22:J22))</f>
        <v>-</v>
      </c>
      <c r="D22" s="109"/>
      <c r="E22" s="110"/>
      <c r="F22" s="110"/>
      <c r="G22" s="110"/>
      <c r="H22" s="110"/>
      <c r="I22" s="110"/>
      <c r="J22" s="111"/>
    </row>
    <row r="23" spans="1:10" ht="12.75">
      <c r="A23" s="69"/>
      <c r="B23" s="17" t="s">
        <v>58</v>
      </c>
      <c r="C23" s="6" t="str">
        <f>IF(C8=0,"-",AVERAGE(D23:J23))</f>
        <v>-</v>
      </c>
      <c r="D23" s="109"/>
      <c r="E23" s="110"/>
      <c r="F23" s="110"/>
      <c r="G23" s="110"/>
      <c r="H23" s="110"/>
      <c r="I23" s="110"/>
      <c r="J23" s="111"/>
    </row>
    <row r="24" spans="1:10" ht="12.75">
      <c r="A24" s="70"/>
      <c r="B24" s="17" t="s">
        <v>16</v>
      </c>
      <c r="C24" s="6" t="str">
        <f>IF(C9=0,"-",AVERAGE(D24:J24))</f>
        <v>-</v>
      </c>
      <c r="D24" s="112"/>
      <c r="E24" s="112"/>
      <c r="F24" s="112"/>
      <c r="G24" s="112"/>
      <c r="H24" s="112"/>
      <c r="I24" s="112"/>
      <c r="J24" s="113"/>
    </row>
    <row r="25" spans="1:10" ht="12.75">
      <c r="A25" s="70"/>
      <c r="B25" s="19" t="s">
        <v>36</v>
      </c>
      <c r="C25" s="104">
        <v>7</v>
      </c>
      <c r="D25" s="15" t="s">
        <v>51</v>
      </c>
      <c r="E25" s="15" t="s">
        <v>51</v>
      </c>
      <c r="F25" s="15" t="s">
        <v>51</v>
      </c>
      <c r="G25" s="15" t="s">
        <v>51</v>
      </c>
      <c r="H25" s="15" t="s">
        <v>51</v>
      </c>
      <c r="I25" s="15" t="s">
        <v>51</v>
      </c>
      <c r="J25" s="16" t="s">
        <v>51</v>
      </c>
    </row>
    <row r="26" spans="1:10" ht="13.5" thickBot="1">
      <c r="A26" s="70"/>
      <c r="B26" s="20" t="s">
        <v>59</v>
      </c>
      <c r="C26" s="105"/>
      <c r="D26" s="4" t="str">
        <f>IF(C26&gt;$B$14,"ATMESTI","-")</f>
        <v>-</v>
      </c>
      <c r="E26" s="4" t="s">
        <v>1</v>
      </c>
      <c r="F26" s="4" t="s">
        <v>1</v>
      </c>
      <c r="G26" s="4" t="s">
        <v>1</v>
      </c>
      <c r="H26" s="4" t="s">
        <v>1</v>
      </c>
      <c r="I26" s="4" t="s">
        <v>1</v>
      </c>
      <c r="J26" s="7" t="s">
        <v>1</v>
      </c>
    </row>
    <row r="27" spans="1:10" ht="12.75">
      <c r="A27" s="68" t="s">
        <v>28</v>
      </c>
      <c r="B27" s="17" t="s">
        <v>14</v>
      </c>
      <c r="C27" s="6" t="str">
        <f>IF($B$13=1,"-",IF(C6=0,"-",AVERAGE(D27:J27)))</f>
        <v>-</v>
      </c>
      <c r="D27" s="114"/>
      <c r="E27" s="107"/>
      <c r="F27" s="107"/>
      <c r="G27" s="107"/>
      <c r="H27" s="107"/>
      <c r="I27" s="107"/>
      <c r="J27" s="107"/>
    </row>
    <row r="28" spans="1:10" ht="12.75">
      <c r="A28" s="69"/>
      <c r="B28" s="17" t="s">
        <v>15</v>
      </c>
      <c r="C28" s="6" t="str">
        <f>IF($B$13=1,"-",IF(C7=0,"-",AVERAGE(D28:J28)))</f>
        <v>-</v>
      </c>
      <c r="D28" s="115"/>
      <c r="E28" s="110"/>
      <c r="F28" s="110"/>
      <c r="G28" s="110"/>
      <c r="H28" s="110"/>
      <c r="I28" s="110"/>
      <c r="J28" s="111"/>
    </row>
    <row r="29" spans="1:10" ht="12.75">
      <c r="A29" s="69"/>
      <c r="B29" s="17" t="s">
        <v>58</v>
      </c>
      <c r="C29" s="6" t="str">
        <f>IF($B$13=1,"-",IF(C8=0,"-",AVERAGE(D29:J29)))</f>
        <v>-</v>
      </c>
      <c r="D29" s="115"/>
      <c r="E29" s="110"/>
      <c r="F29" s="110"/>
      <c r="G29" s="110"/>
      <c r="H29" s="110"/>
      <c r="I29" s="110"/>
      <c r="J29" s="111"/>
    </row>
    <row r="30" spans="1:10" ht="12.75">
      <c r="A30" s="70"/>
      <c r="B30" s="17" t="s">
        <v>16</v>
      </c>
      <c r="C30" s="6" t="str">
        <f>IF($B$13=1,"-",IF(C9=0,"-",AVERAGE(D30:J30)))</f>
        <v>-</v>
      </c>
      <c r="D30" s="116"/>
      <c r="E30" s="112"/>
      <c r="F30" s="112"/>
      <c r="G30" s="112"/>
      <c r="H30" s="112"/>
      <c r="I30" s="112"/>
      <c r="J30" s="113"/>
    </row>
    <row r="31" spans="1:10" ht="12.75">
      <c r="A31" s="70"/>
      <c r="B31" s="19" t="s">
        <v>36</v>
      </c>
      <c r="C31" s="104">
        <v>8</v>
      </c>
      <c r="D31" s="116"/>
      <c r="E31" s="112"/>
      <c r="F31" s="112"/>
      <c r="G31" s="112"/>
      <c r="H31" s="112"/>
      <c r="I31" s="112"/>
      <c r="J31" s="113"/>
    </row>
    <row r="32" spans="1:10" ht="13.5" thickBot="1">
      <c r="A32" s="71"/>
      <c r="B32" s="20" t="s">
        <v>59</v>
      </c>
      <c r="C32" s="117"/>
      <c r="D32" s="11" t="str">
        <f>IF(C32&gt;$B$14,"ATMESTI","-")</f>
        <v>-</v>
      </c>
      <c r="E32" s="8" t="s">
        <v>1</v>
      </c>
      <c r="F32" s="8" t="s">
        <v>1</v>
      </c>
      <c r="G32" s="8" t="s">
        <v>1</v>
      </c>
      <c r="H32" s="8" t="s">
        <v>1</v>
      </c>
      <c r="I32" s="8" t="s">
        <v>1</v>
      </c>
      <c r="J32" s="9" t="s">
        <v>1</v>
      </c>
    </row>
    <row r="33" spans="1:10" ht="12.75">
      <c r="A33" s="68" t="s">
        <v>29</v>
      </c>
      <c r="B33" s="17" t="s">
        <v>14</v>
      </c>
      <c r="C33" s="6" t="str">
        <f>IF($B$13&lt;=2,"-",IF(C6=0,"-",AVERAGE(D33:J33)))</f>
        <v>-</v>
      </c>
      <c r="D33" s="106"/>
      <c r="E33" s="107"/>
      <c r="F33" s="107"/>
      <c r="G33" s="107"/>
      <c r="H33" s="118"/>
      <c r="I33" s="118"/>
      <c r="J33" s="119"/>
    </row>
    <row r="34" spans="1:10" ht="12.75">
      <c r="A34" s="69"/>
      <c r="B34" s="17" t="s">
        <v>15</v>
      </c>
      <c r="C34" s="6" t="str">
        <f>IF($B$13&lt;=2,"-",IF(C7=0,"-",AVERAGE(D34:J34)))</f>
        <v>-</v>
      </c>
      <c r="D34" s="109"/>
      <c r="E34" s="110"/>
      <c r="F34" s="110"/>
      <c r="G34" s="110"/>
      <c r="H34" s="110"/>
      <c r="I34" s="110"/>
      <c r="J34" s="111"/>
    </row>
    <row r="35" spans="1:10" ht="12.75">
      <c r="A35" s="69"/>
      <c r="B35" s="17" t="s">
        <v>58</v>
      </c>
      <c r="C35" s="6" t="str">
        <f>IF($B$13&lt;=2,"-",IF(C8=0,"-",AVERAGE(D35:J35)))</f>
        <v>-</v>
      </c>
      <c r="D35" s="109"/>
      <c r="E35" s="110"/>
      <c r="F35" s="110"/>
      <c r="G35" s="110"/>
      <c r="H35" s="110"/>
      <c r="I35" s="110"/>
      <c r="J35" s="111"/>
    </row>
    <row r="36" spans="1:10" ht="12.75">
      <c r="A36" s="70"/>
      <c r="B36" s="17" t="s">
        <v>16</v>
      </c>
      <c r="C36" s="6" t="str">
        <f>IF($B$13&lt;=2,"-",IF(C9=0,"-",AVERAGE(D36:J36)))</f>
        <v>-</v>
      </c>
      <c r="D36" s="112"/>
      <c r="E36" s="112"/>
      <c r="F36" s="112"/>
      <c r="G36" s="112"/>
      <c r="H36" s="112"/>
      <c r="I36" s="112"/>
      <c r="J36" s="113"/>
    </row>
    <row r="37" spans="1:10" ht="12.75">
      <c r="A37" s="70"/>
      <c r="B37" s="19" t="s">
        <v>36</v>
      </c>
      <c r="C37" s="121" t="s">
        <v>51</v>
      </c>
      <c r="D37" s="112"/>
      <c r="E37" s="112"/>
      <c r="F37" s="112"/>
      <c r="G37" s="112"/>
      <c r="H37" s="112"/>
      <c r="I37" s="112"/>
      <c r="J37" s="113"/>
    </row>
    <row r="38" spans="1:10" ht="13.5" thickBot="1">
      <c r="A38" s="71"/>
      <c r="B38" s="20" t="s">
        <v>59</v>
      </c>
      <c r="C38" s="120" t="s">
        <v>51</v>
      </c>
      <c r="D38" s="4" t="str">
        <f>IF(C38&gt;$B$14,"ATMESTI","-")</f>
        <v>-</v>
      </c>
      <c r="E38" s="4" t="s">
        <v>1</v>
      </c>
      <c r="F38" s="4" t="s">
        <v>1</v>
      </c>
      <c r="G38" s="4" t="s">
        <v>1</v>
      </c>
      <c r="H38" s="4" t="s">
        <v>1</v>
      </c>
      <c r="I38" s="4" t="s">
        <v>1</v>
      </c>
      <c r="J38" s="7" t="s">
        <v>1</v>
      </c>
    </row>
    <row r="39" spans="1:10" ht="12.75">
      <c r="A39" s="68" t="s">
        <v>30</v>
      </c>
      <c r="B39" s="17" t="s">
        <v>14</v>
      </c>
      <c r="C39" s="6" t="str">
        <f>IF($B$13&lt;=3,"-",IF(C6=0,"-",AVERAGE(D39:J39)))</f>
        <v>-</v>
      </c>
      <c r="D39" s="114"/>
      <c r="E39" s="107"/>
      <c r="F39" s="107"/>
      <c r="G39" s="107"/>
      <c r="H39" s="107"/>
      <c r="I39" s="107"/>
      <c r="J39" s="108"/>
    </row>
    <row r="40" spans="1:10" ht="12.75">
      <c r="A40" s="69"/>
      <c r="B40" s="17" t="s">
        <v>15</v>
      </c>
      <c r="C40" s="6" t="str">
        <f>IF($B$13&lt;=3,"-",IF(C7=0,"-",AVERAGE(D40:J40)))</f>
        <v>-</v>
      </c>
      <c r="D40" s="115"/>
      <c r="E40" s="110"/>
      <c r="F40" s="110"/>
      <c r="G40" s="110"/>
      <c r="H40" s="110"/>
      <c r="I40" s="110"/>
      <c r="J40" s="111"/>
    </row>
    <row r="41" spans="1:10" ht="12.75">
      <c r="A41" s="69"/>
      <c r="B41" s="17" t="s">
        <v>58</v>
      </c>
      <c r="C41" s="6" t="str">
        <f>IF($B$13&lt;=3,"-",IF(C8=0,"-",AVERAGE(D41:J41)))</f>
        <v>-</v>
      </c>
      <c r="D41" s="115"/>
      <c r="E41" s="110"/>
      <c r="F41" s="110"/>
      <c r="G41" s="110"/>
      <c r="H41" s="110"/>
      <c r="I41" s="110"/>
      <c r="J41" s="111"/>
    </row>
    <row r="42" spans="1:10" ht="12.75">
      <c r="A42" s="70"/>
      <c r="B42" s="17" t="s">
        <v>16</v>
      </c>
      <c r="C42" s="6" t="str">
        <f>IF($B$13&lt;=3,"-",IF(C9=0,"-",AVERAGE(D42:J42)))</f>
        <v>-</v>
      </c>
      <c r="D42" s="116"/>
      <c r="E42" s="112"/>
      <c r="F42" s="112"/>
      <c r="G42" s="112"/>
      <c r="H42" s="112"/>
      <c r="I42" s="112"/>
      <c r="J42" s="113"/>
    </row>
    <row r="43" spans="1:10" ht="12.75">
      <c r="A43" s="70"/>
      <c r="B43" s="19" t="s">
        <v>36</v>
      </c>
      <c r="C43" s="121" t="s">
        <v>51</v>
      </c>
      <c r="D43" s="116"/>
      <c r="E43" s="112"/>
      <c r="F43" s="112"/>
      <c r="G43" s="112"/>
      <c r="H43" s="112"/>
      <c r="I43" s="112"/>
      <c r="J43" s="113"/>
    </row>
    <row r="44" spans="1:10" ht="13.5" thickBot="1">
      <c r="A44" s="71"/>
      <c r="B44" s="20" t="s">
        <v>59</v>
      </c>
      <c r="C44" s="120" t="s">
        <v>51</v>
      </c>
      <c r="D44" s="11" t="str">
        <f>IF(C44&gt;$B$14,"ATMESTI","-")</f>
        <v>-</v>
      </c>
      <c r="E44" s="8" t="s">
        <v>1</v>
      </c>
      <c r="F44" s="8" t="s">
        <v>1</v>
      </c>
      <c r="G44" s="8" t="s">
        <v>1</v>
      </c>
      <c r="H44" s="8" t="s">
        <v>1</v>
      </c>
      <c r="I44" s="8" t="s">
        <v>1</v>
      </c>
      <c r="J44" s="9" t="s">
        <v>1</v>
      </c>
    </row>
    <row r="45" spans="1:10" ht="12.75">
      <c r="A45" s="68" t="s">
        <v>45</v>
      </c>
      <c r="B45" s="17" t="s">
        <v>14</v>
      </c>
      <c r="C45" s="64" t="str">
        <f>IF($B$13&lt;=4,"-",IF(C6=0,"-",AVERAGE(D45:J45)))</f>
        <v>-</v>
      </c>
      <c r="D45" s="106"/>
      <c r="E45" s="107"/>
      <c r="F45" s="107"/>
      <c r="G45" s="107"/>
      <c r="H45" s="107"/>
      <c r="I45" s="107"/>
      <c r="J45" s="108"/>
    </row>
    <row r="46" spans="1:10" ht="12.75">
      <c r="A46" s="69"/>
      <c r="B46" s="17" t="s">
        <v>15</v>
      </c>
      <c r="C46" s="6" t="str">
        <f>IF($B$13&lt;=4,"-",IF(C7=0,"-",AVERAGE(D46:J46)))</f>
        <v>-</v>
      </c>
      <c r="D46" s="109"/>
      <c r="E46" s="110"/>
      <c r="F46" s="110"/>
      <c r="G46" s="110"/>
      <c r="H46" s="110"/>
      <c r="I46" s="110"/>
      <c r="J46" s="111"/>
    </row>
    <row r="47" spans="1:10" ht="12.75">
      <c r="A47" s="69"/>
      <c r="B47" s="17" t="s">
        <v>58</v>
      </c>
      <c r="C47" s="6" t="str">
        <f>IF($B$13&lt;=4,"-",IF(C8=0,"-",AVERAGE(D47:J47)))</f>
        <v>-</v>
      </c>
      <c r="D47" s="115"/>
      <c r="E47" s="110"/>
      <c r="F47" s="110"/>
      <c r="G47" s="110"/>
      <c r="H47" s="110"/>
      <c r="I47" s="110"/>
      <c r="J47" s="111"/>
    </row>
    <row r="48" spans="1:10" ht="12.75">
      <c r="A48" s="70"/>
      <c r="B48" s="17" t="s">
        <v>16</v>
      </c>
      <c r="C48" s="6" t="str">
        <f>IF($B$13&lt;=4,"-",IF(C9=0,"-",AVERAGE(D48:J48)))</f>
        <v>-</v>
      </c>
      <c r="D48" s="116"/>
      <c r="E48" s="112"/>
      <c r="F48" s="112"/>
      <c r="G48" s="112"/>
      <c r="H48" s="112"/>
      <c r="I48" s="112"/>
      <c r="J48" s="113"/>
    </row>
    <row r="49" spans="1:10" ht="12.75">
      <c r="A49" s="70"/>
      <c r="B49" s="19" t="s">
        <v>36</v>
      </c>
      <c r="C49" s="121" t="s">
        <v>51</v>
      </c>
      <c r="D49" s="116"/>
      <c r="E49" s="112"/>
      <c r="F49" s="112"/>
      <c r="G49" s="112"/>
      <c r="H49" s="112"/>
      <c r="I49" s="112"/>
      <c r="J49" s="113"/>
    </row>
    <row r="50" spans="1:10" ht="13.5" thickBot="1">
      <c r="A50" s="71"/>
      <c r="B50" s="20" t="s">
        <v>59</v>
      </c>
      <c r="C50" s="120" t="s">
        <v>51</v>
      </c>
      <c r="D50" s="11" t="str">
        <f>IF(C50&gt;$B$14,"ATMESTI","-")</f>
        <v>-</v>
      </c>
      <c r="E50" s="8" t="s">
        <v>1</v>
      </c>
      <c r="F50" s="8" t="s">
        <v>1</v>
      </c>
      <c r="G50" s="8" t="s">
        <v>1</v>
      </c>
      <c r="H50" s="8" t="s">
        <v>1</v>
      </c>
      <c r="I50" s="8" t="s">
        <v>1</v>
      </c>
      <c r="J50" s="9" t="s">
        <v>1</v>
      </c>
    </row>
    <row r="51" spans="1:10" ht="12.75">
      <c r="A51" s="68" t="s">
        <v>46</v>
      </c>
      <c r="B51" s="17" t="s">
        <v>14</v>
      </c>
      <c r="C51" s="6" t="str">
        <f>IF($B$13&lt;=5,"-",IF(C6=0,"-",AVERAGE(D51:J51)))</f>
        <v>-</v>
      </c>
      <c r="D51" s="114"/>
      <c r="E51" s="107"/>
      <c r="F51" s="107"/>
      <c r="G51" s="107"/>
      <c r="H51" s="107"/>
      <c r="I51" s="107"/>
      <c r="J51" s="108"/>
    </row>
    <row r="52" spans="1:10" ht="12.75">
      <c r="A52" s="69"/>
      <c r="B52" s="17" t="s">
        <v>15</v>
      </c>
      <c r="C52" s="6" t="str">
        <f>IF($B$13&lt;=5,"-",IF(C7=0,"-",AVERAGE(D52:J52)))</f>
        <v>-</v>
      </c>
      <c r="D52" s="115"/>
      <c r="E52" s="110"/>
      <c r="F52" s="110"/>
      <c r="G52" s="110"/>
      <c r="H52" s="110"/>
      <c r="I52" s="110"/>
      <c r="J52" s="111"/>
    </row>
    <row r="53" spans="1:10" ht="12.75">
      <c r="A53" s="69"/>
      <c r="B53" s="17" t="s">
        <v>58</v>
      </c>
      <c r="C53" s="6" t="str">
        <f>IF($B$13&lt;=5,"-",IF(C8=0,"-",AVERAGE(D53:J53)))</f>
        <v>-</v>
      </c>
      <c r="D53" s="115"/>
      <c r="E53" s="110"/>
      <c r="F53" s="110"/>
      <c r="G53" s="110"/>
      <c r="H53" s="110"/>
      <c r="I53" s="110"/>
      <c r="J53" s="111"/>
    </row>
    <row r="54" spans="1:10" ht="12.75">
      <c r="A54" s="70"/>
      <c r="B54" s="17" t="s">
        <v>16</v>
      </c>
      <c r="C54" s="6" t="str">
        <f>IF($B$13&lt;=5,"-",IF(C9=0,"-",AVERAGE(D54:J54)))</f>
        <v>-</v>
      </c>
      <c r="D54" s="116"/>
      <c r="E54" s="112"/>
      <c r="F54" s="112"/>
      <c r="G54" s="112"/>
      <c r="H54" s="112"/>
      <c r="I54" s="112"/>
      <c r="J54" s="113"/>
    </row>
    <row r="55" spans="1:10" ht="12.75">
      <c r="A55" s="70"/>
      <c r="B55" s="19" t="s">
        <v>36</v>
      </c>
      <c r="C55" s="121" t="s">
        <v>51</v>
      </c>
      <c r="D55" s="116"/>
      <c r="E55" s="112"/>
      <c r="F55" s="112"/>
      <c r="G55" s="112"/>
      <c r="H55" s="112"/>
      <c r="I55" s="112"/>
      <c r="J55" s="113"/>
    </row>
    <row r="56" spans="1:10" ht="13.5" thickBot="1">
      <c r="A56" s="71"/>
      <c r="B56" s="20" t="s">
        <v>59</v>
      </c>
      <c r="C56" s="120" t="s">
        <v>51</v>
      </c>
      <c r="D56" s="65" t="str">
        <f>IF(C56&gt;$B$14,"ATMESTI","-")</f>
        <v>-</v>
      </c>
      <c r="E56" s="66" t="s">
        <v>1</v>
      </c>
      <c r="F56" s="66" t="s">
        <v>1</v>
      </c>
      <c r="G56" s="66" t="s">
        <v>1</v>
      </c>
      <c r="H56" s="66" t="s">
        <v>1</v>
      </c>
      <c r="I56" s="66" t="s">
        <v>1</v>
      </c>
      <c r="J56" s="67" t="s">
        <v>1</v>
      </c>
    </row>
    <row r="57" spans="1:10" ht="12.75">
      <c r="A57" s="68" t="s">
        <v>47</v>
      </c>
      <c r="B57" s="17" t="s">
        <v>14</v>
      </c>
      <c r="C57" s="6" t="str">
        <f>IF($B$13&lt;=6,"-",IF(C6=0,"-",AVERAGE(D57:J57)))</f>
        <v>-</v>
      </c>
      <c r="D57" s="114"/>
      <c r="E57" s="107"/>
      <c r="F57" s="107"/>
      <c r="G57" s="107"/>
      <c r="H57" s="107"/>
      <c r="I57" s="107"/>
      <c r="J57" s="108"/>
    </row>
    <row r="58" spans="1:10" ht="12.75">
      <c r="A58" s="69"/>
      <c r="B58" s="17" t="s">
        <v>15</v>
      </c>
      <c r="C58" s="6" t="str">
        <f>IF($B$13&lt;=6,"-",IF(C7=0,"-",AVERAGE(D58:J58)))</f>
        <v>-</v>
      </c>
      <c r="D58" s="115"/>
      <c r="E58" s="110"/>
      <c r="F58" s="110"/>
      <c r="G58" s="110"/>
      <c r="H58" s="110"/>
      <c r="I58" s="110"/>
      <c r="J58" s="111"/>
    </row>
    <row r="59" spans="1:10" ht="12.75">
      <c r="A59" s="69"/>
      <c r="B59" s="17" t="s">
        <v>58</v>
      </c>
      <c r="C59" s="6" t="str">
        <f>IF($B$13&lt;=6,"-",IF(C8=0,"-",AVERAGE(D59:J59)))</f>
        <v>-</v>
      </c>
      <c r="D59" s="115"/>
      <c r="E59" s="110"/>
      <c r="F59" s="110"/>
      <c r="G59" s="110"/>
      <c r="H59" s="110"/>
      <c r="I59" s="110"/>
      <c r="J59" s="111"/>
    </row>
    <row r="60" spans="1:10" ht="12.75">
      <c r="A60" s="70"/>
      <c r="B60" s="17" t="s">
        <v>16</v>
      </c>
      <c r="C60" s="6" t="str">
        <f>IF($B$13&lt;=6,"-",IF(C9=0,"-",AVERAGE(D60:J60)))</f>
        <v>-</v>
      </c>
      <c r="D60" s="116"/>
      <c r="E60" s="112"/>
      <c r="F60" s="112"/>
      <c r="G60" s="112"/>
      <c r="H60" s="112"/>
      <c r="I60" s="112"/>
      <c r="J60" s="113"/>
    </row>
    <row r="61" spans="1:10" ht="12.75">
      <c r="A61" s="70"/>
      <c r="B61" s="19" t="s">
        <v>36</v>
      </c>
      <c r="C61" s="121" t="s">
        <v>51</v>
      </c>
      <c r="D61" s="116"/>
      <c r="E61" s="112"/>
      <c r="F61" s="112"/>
      <c r="G61" s="112"/>
      <c r="H61" s="112"/>
      <c r="I61" s="112"/>
      <c r="J61" s="113"/>
    </row>
    <row r="62" spans="1:10" ht="13.5" thickBot="1">
      <c r="A62" s="71"/>
      <c r="B62" s="20" t="s">
        <v>59</v>
      </c>
      <c r="C62" s="120" t="s">
        <v>51</v>
      </c>
      <c r="D62" s="11" t="str">
        <f>IF(C62&gt;$B$14,"ATMESTI","-")</f>
        <v>-</v>
      </c>
      <c r="E62" s="8" t="s">
        <v>1</v>
      </c>
      <c r="F62" s="8" t="s">
        <v>1</v>
      </c>
      <c r="G62" s="8" t="s">
        <v>1</v>
      </c>
      <c r="H62" s="8" t="s">
        <v>1</v>
      </c>
      <c r="I62" s="8" t="s">
        <v>1</v>
      </c>
      <c r="J62" s="9" t="s">
        <v>1</v>
      </c>
    </row>
  </sheetData>
  <sheetProtection sheet="1" objects="1" scenarios="1" formatCells="0" formatColumns="0" formatRows="0" selectLockedCells="1"/>
  <mergeCells count="20">
    <mergeCell ref="A45:A50"/>
    <mergeCell ref="A51:A56"/>
    <mergeCell ref="A57:A62"/>
    <mergeCell ref="A2:G2"/>
    <mergeCell ref="A17:G17"/>
    <mergeCell ref="A39:A44"/>
    <mergeCell ref="C11:E11"/>
    <mergeCell ref="D19:J19"/>
    <mergeCell ref="C19:C20"/>
    <mergeCell ref="A21:A26"/>
    <mergeCell ref="C10:E10"/>
    <mergeCell ref="A27:A32"/>
    <mergeCell ref="A33:A38"/>
    <mergeCell ref="A4:B4"/>
    <mergeCell ref="C4:E4"/>
    <mergeCell ref="C5:E5"/>
    <mergeCell ref="C9:E9"/>
    <mergeCell ref="C6:E6"/>
    <mergeCell ref="C7:E7"/>
    <mergeCell ref="C8:E8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1"/>
  <sheetViews>
    <sheetView showGridLines="0" zoomScale="186" zoomScaleNormal="186" zoomScalePageLayoutView="0" workbookViewId="0" topLeftCell="A1">
      <selection activeCell="D19" sqref="D19"/>
    </sheetView>
  </sheetViews>
  <sheetFormatPr defaultColWidth="8.8515625" defaultRowHeight="12.75"/>
  <cols>
    <col min="1" max="1" width="29.8515625" style="24" customWidth="1"/>
    <col min="2" max="2" width="6.140625" style="24" customWidth="1"/>
    <col min="3" max="9" width="15.7109375" style="24" customWidth="1"/>
    <col min="10" max="16384" width="8.8515625" style="24" customWidth="1"/>
  </cols>
  <sheetData>
    <row r="3" spans="1:6" ht="12.75">
      <c r="A3" s="88" t="s">
        <v>38</v>
      </c>
      <c r="B3" s="88"/>
      <c r="C3" s="88"/>
      <c r="D3" s="88"/>
      <c r="E3" s="88"/>
      <c r="F3" s="88"/>
    </row>
    <row r="4" ht="13.5" thickBot="1"/>
    <row r="5" spans="3:9" ht="13.5" thickBot="1">
      <c r="C5" s="25" t="s">
        <v>2</v>
      </c>
      <c r="D5" s="26" t="s">
        <v>3</v>
      </c>
      <c r="E5" s="26" t="s">
        <v>4</v>
      </c>
      <c r="F5" s="27" t="s">
        <v>5</v>
      </c>
      <c r="G5" s="27" t="s">
        <v>48</v>
      </c>
      <c r="H5" s="27" t="s">
        <v>49</v>
      </c>
      <c r="I5" s="28" t="s">
        <v>50</v>
      </c>
    </row>
    <row r="6" spans="1:9" ht="15">
      <c r="A6" s="83" t="s">
        <v>17</v>
      </c>
      <c r="B6" s="29" t="s">
        <v>6</v>
      </c>
      <c r="C6" s="30" t="str">
        <f>'Tech. vertinimas'!C21</f>
        <v>-</v>
      </c>
      <c r="D6" s="31" t="str">
        <f>'Tech. vertinimas'!C27</f>
        <v>-</v>
      </c>
      <c r="E6" s="31" t="str">
        <f>'Tech. vertinimas'!C33</f>
        <v>-</v>
      </c>
      <c r="F6" s="32" t="str">
        <f>'Tech. vertinimas'!C39</f>
        <v>-</v>
      </c>
      <c r="G6" s="32" t="str">
        <f>'Tech. vertinimas'!C45</f>
        <v>-</v>
      </c>
      <c r="H6" s="32" t="str">
        <f>'Tech. vertinimas'!C51</f>
        <v>-</v>
      </c>
      <c r="I6" s="33" t="str">
        <f>'Tech. vertinimas'!C57</f>
        <v>-</v>
      </c>
    </row>
    <row r="7" spans="1:9" ht="15">
      <c r="A7" s="84"/>
      <c r="B7" s="34" t="s">
        <v>7</v>
      </c>
      <c r="C7" s="35" t="str">
        <f>'Tech. vertinimas'!C22</f>
        <v>-</v>
      </c>
      <c r="D7" s="36" t="str">
        <f>'Tech. vertinimas'!C28</f>
        <v>-</v>
      </c>
      <c r="E7" s="36" t="str">
        <f>'Tech. vertinimas'!C34</f>
        <v>-</v>
      </c>
      <c r="F7" s="37" t="str">
        <f>'Tech. vertinimas'!C40</f>
        <v>-</v>
      </c>
      <c r="G7" s="37" t="str">
        <f>'Tech. vertinimas'!C46</f>
        <v>-</v>
      </c>
      <c r="H7" s="37" t="str">
        <f>'Tech. vertinimas'!C52</f>
        <v>-</v>
      </c>
      <c r="I7" s="38" t="str">
        <f>'Tech. vertinimas'!C58</f>
        <v>-</v>
      </c>
    </row>
    <row r="8" spans="1:9" ht="15">
      <c r="A8" s="84"/>
      <c r="B8" s="34" t="s">
        <v>60</v>
      </c>
      <c r="C8" s="35" t="str">
        <f>'Tech. vertinimas'!C23</f>
        <v>-</v>
      </c>
      <c r="D8" s="36" t="str">
        <f>'Tech. vertinimas'!C29</f>
        <v>-</v>
      </c>
      <c r="E8" s="36" t="str">
        <f>'Tech. vertinimas'!C35</f>
        <v>-</v>
      </c>
      <c r="F8" s="37" t="str">
        <f>'Tech. vertinimas'!C41</f>
        <v>-</v>
      </c>
      <c r="G8" s="39" t="str">
        <f>'Tech. vertinimas'!C47</f>
        <v>-</v>
      </c>
      <c r="H8" s="37" t="str">
        <f>'Tech. vertinimas'!C53</f>
        <v>-</v>
      </c>
      <c r="I8" s="38" t="str">
        <f>'Tech. vertinimas'!C59</f>
        <v>-</v>
      </c>
    </row>
    <row r="9" spans="1:9" ht="15">
      <c r="A9" s="85"/>
      <c r="B9" s="34" t="s">
        <v>61</v>
      </c>
      <c r="C9" s="40" t="str">
        <f>'Tech. vertinimas'!C24</f>
        <v>-</v>
      </c>
      <c r="D9" s="41" t="str">
        <f>'Tech. vertinimas'!C30</f>
        <v>-</v>
      </c>
      <c r="E9" s="41" t="str">
        <f>'Tech. vertinimas'!C36</f>
        <v>-</v>
      </c>
      <c r="F9" s="42" t="str">
        <f>'Tech. vertinimas'!C42</f>
        <v>-</v>
      </c>
      <c r="G9" s="37" t="str">
        <f>'Tech. vertinimas'!C48</f>
        <v>-</v>
      </c>
      <c r="H9" s="39" t="str">
        <f>'Tech. vertinimas'!C54</f>
        <v>-</v>
      </c>
      <c r="I9" s="43" t="str">
        <f>'Tech. vertinimas'!C60</f>
        <v>-</v>
      </c>
    </row>
    <row r="10" spans="1:9" ht="15">
      <c r="A10" s="85"/>
      <c r="B10" s="34" t="s">
        <v>62</v>
      </c>
      <c r="C10" s="40">
        <f>IF('Tech. vertinimas'!$C$10=0,"-",'Tech. vertinimas'!C25)</f>
        <v>7</v>
      </c>
      <c r="D10" s="44">
        <f>IF('Tech. vertinimas'!$C$10=0,"-",'Tech. vertinimas'!C31)</f>
        <v>8</v>
      </c>
      <c r="E10" s="44" t="str">
        <f>IF('Tech. vertinimas'!$C$10=0,"-",'Tech. vertinimas'!C37)</f>
        <v>-</v>
      </c>
      <c r="F10" s="45" t="str">
        <f>IF('Tech. vertinimas'!$C$10=0,"-",'Tech. vertinimas'!C43)</f>
        <v>-</v>
      </c>
      <c r="G10" s="42" t="str">
        <f>IF('Tech. vertinimas'!$C$10=0,"-",'Tech. vertinimas'!C49)</f>
        <v>-</v>
      </c>
      <c r="H10" s="46" t="str">
        <f>IF('Tech. vertinimas'!$C$10=0,"-",'Tech. vertinimas'!C55)</f>
        <v>-</v>
      </c>
      <c r="I10" s="47" t="str">
        <f>IF('Tech. vertinimas'!$C$10=0,"-",'Tech. vertinimas'!C61)</f>
        <v>-</v>
      </c>
    </row>
    <row r="11" spans="1:9" ht="15.75" thickBot="1">
      <c r="A11" s="86"/>
      <c r="B11" s="48" t="s">
        <v>63</v>
      </c>
      <c r="C11" s="40" t="str">
        <f>IF('Tech. vertinimas'!$C$11=0,"-",'Tech. vertinimas'!C26)</f>
        <v>-</v>
      </c>
      <c r="D11" s="44" t="str">
        <f>IF('Tech. vertinimas'!$C$11=0,"-",'Tech. vertinimas'!C32)</f>
        <v>-</v>
      </c>
      <c r="E11" s="44" t="str">
        <f>IF('Tech. vertinimas'!$C$11=0,"-",'Tech. vertinimas'!C38)</f>
        <v>-</v>
      </c>
      <c r="F11" s="45" t="str">
        <f>IF('Tech. vertinimas'!$C$11=0,"-",'Tech. vertinimas'!C44)</f>
        <v>-</v>
      </c>
      <c r="G11" s="42" t="str">
        <f>IF('Tech. vertinimas'!$C$11=0,"-",'Tech. vertinimas'!C50)</f>
        <v>-</v>
      </c>
      <c r="H11" s="42" t="str">
        <f>IF('Tech. vertinimas'!$C$11=0,"-",'Tech. vertinimas'!C56)</f>
        <v>-</v>
      </c>
      <c r="I11" s="49" t="str">
        <f>IF('Tech. vertinimas'!$C$11=0,"-",'Tech. vertinimas'!C62)</f>
        <v>-</v>
      </c>
    </row>
    <row r="12" spans="1:9" ht="15">
      <c r="A12" s="87" t="s">
        <v>35</v>
      </c>
      <c r="B12" s="50" t="s">
        <v>8</v>
      </c>
      <c r="C12" s="35" t="str">
        <f>IF('Tech. vertinimas'!$C6=0,"-",C6/MAX(C6:I6)*'Tech. vertinimas'!$C6)</f>
        <v>-</v>
      </c>
      <c r="D12" s="36" t="str">
        <f>IF('Tech. vertinimas'!$B$13=1,"-",IF('Tech. vertinimas'!$C6=0,"-",D6/MAX(C6:I6)*'Tech. vertinimas'!$C6))</f>
        <v>-</v>
      </c>
      <c r="E12" s="36" t="str">
        <f>IF('Tech. vertinimas'!$B$13&lt;=2,"-",IF('Tech. vertinimas'!$C6=0,"-",E6/MAX(C6:I6)*'Tech. vertinimas'!$C6))</f>
        <v>-</v>
      </c>
      <c r="F12" s="36" t="str">
        <f>IF('Tech. vertinimas'!$B$13&lt;=3,"-",IF('Tech. vertinimas'!$C6=0,"-",F6/MAX(C6:I6)*'Tech. vertinimas'!$C6))</f>
        <v>-</v>
      </c>
      <c r="G12" s="36" t="str">
        <f>IF('Tech. vertinimas'!$B$13&lt;=4,"-",IF('Tech. vertinimas'!$C6=0,"-",G6/MAX(C6:I6)*'Tech. vertinimas'!$C6))</f>
        <v>-</v>
      </c>
      <c r="H12" s="36" t="str">
        <f>IF('Tech. vertinimas'!$B$13&lt;=5,"-",IF('Tech. vertinimas'!$C6=0,"-",H6/MAX(C6:I6)*'Tech. vertinimas'!$C6))</f>
        <v>-</v>
      </c>
      <c r="I12" s="38" t="str">
        <f>IF('Tech. vertinimas'!$B$13&lt;=6,"-",IF('Tech. vertinimas'!$C6=0,"-",I6/MAX(C6:I6)*'Tech. vertinimas'!$C6))</f>
        <v>-</v>
      </c>
    </row>
    <row r="13" spans="1:9" ht="15">
      <c r="A13" s="84"/>
      <c r="B13" s="51" t="s">
        <v>9</v>
      </c>
      <c r="C13" s="35" t="str">
        <f>IF('Tech. vertinimas'!$C7=0,"-",C7/MAX(C7:I7)*'Tech. vertinimas'!$C7)</f>
        <v>-</v>
      </c>
      <c r="D13" s="36" t="str">
        <f>IF('Tech. vertinimas'!$B$13=1,"-",IF('Tech. vertinimas'!$C7=0,"-",D7/MAX(C7:I7)*'Tech. vertinimas'!$C7))</f>
        <v>-</v>
      </c>
      <c r="E13" s="36" t="str">
        <f>IF('Tech. vertinimas'!$B$13&lt;=2,"-",IF('Tech. vertinimas'!$C7=0,"-",E7/MAX(C7:I7)*'Tech. vertinimas'!$C7))</f>
        <v>-</v>
      </c>
      <c r="F13" s="36" t="str">
        <f>IF('Tech. vertinimas'!$B$13&lt;=3,"-",IF('Tech. vertinimas'!$C7=0,"-",F7/MAX(C7:I7)*'Tech. vertinimas'!$C7))</f>
        <v>-</v>
      </c>
      <c r="G13" s="36" t="str">
        <f>IF('Tech. vertinimas'!$B$13&lt;=4,"-",IF('Tech. vertinimas'!$C7=0,"-",G7/MAX(C7:I7)*'Tech. vertinimas'!$C7))</f>
        <v>-</v>
      </c>
      <c r="H13" s="36" t="str">
        <f>IF('Tech. vertinimas'!$B$13&lt;=5,"-",IF('Tech. vertinimas'!$C7=0,"-",H7/MAX(C7:I7)*'Tech. vertinimas'!$C7))</f>
        <v>-</v>
      </c>
      <c r="I13" s="38" t="str">
        <f>IF('Tech. vertinimas'!$B$13&lt;=6,"-",IF('Tech. vertinimas'!$C7=0,"-",I7/MAX(C7:I7)*'Tech. vertinimas'!$C7))</f>
        <v>-</v>
      </c>
    </row>
    <row r="14" spans="1:9" ht="15">
      <c r="A14" s="84"/>
      <c r="B14" s="51" t="s">
        <v>64</v>
      </c>
      <c r="C14" s="35" t="str">
        <f>IF('Tech. vertinimas'!$C8=0,"-",C8/MAX(C8:I8)*'Tech. vertinimas'!$C8)</f>
        <v>-</v>
      </c>
      <c r="D14" s="36" t="str">
        <f>IF('Tech. vertinimas'!$B$13=1,"-",IF('Tech. vertinimas'!$C8=0,"-",D8/MAX(C8:I8)*'Tech. vertinimas'!$C8))</f>
        <v>-</v>
      </c>
      <c r="E14" s="36" t="str">
        <f>IF('Tech. vertinimas'!$B$13&lt;=2,"-",IF('Tech. vertinimas'!$C8=0,"-",E8/MAX(C8:I8)*'Tech. vertinimas'!$C8))</f>
        <v>-</v>
      </c>
      <c r="F14" s="36" t="str">
        <f>IF('Tech. vertinimas'!$B$13&lt;=3,"-",IF('Tech. vertinimas'!$C8=0,"-",F8/MAX(C8:I8)*'Tech. vertinimas'!$C8))</f>
        <v>-</v>
      </c>
      <c r="G14" s="36" t="str">
        <f>IF('Tech. vertinimas'!$B$13&lt;=4,"-",IF('Tech. vertinimas'!$C8=0,"-",G8/MAX(C8:I8)*'Tech. vertinimas'!$C8))</f>
        <v>-</v>
      </c>
      <c r="H14" s="36" t="str">
        <f>IF('Tech. vertinimas'!$B$13&lt;=5,"-",IF('Tech. vertinimas'!$C8=0,"-",H8/MAX(C8:I8)*'Tech. vertinimas'!$C8))</f>
        <v>-</v>
      </c>
      <c r="I14" s="38" t="str">
        <f>IF('Tech. vertinimas'!$B$13&lt;=6,"-",IF('Tech. vertinimas'!$C8=0,"-",I8/MAX(C8:I8)*'Tech. vertinimas'!$C8))</f>
        <v>-</v>
      </c>
    </row>
    <row r="15" spans="1:9" ht="15">
      <c r="A15" s="85"/>
      <c r="B15" s="51" t="s">
        <v>65</v>
      </c>
      <c r="C15" s="35" t="str">
        <f>IF('Tech. vertinimas'!$C9=0,"-",C9/MAX(C9:I9)*'Tech. vertinimas'!$C9)</f>
        <v>-</v>
      </c>
      <c r="D15" s="36" t="str">
        <f>IF('Tech. vertinimas'!$B$13=1,"-",IF('Tech. vertinimas'!$C9=0,"-",D9/MAX(C9:I9)*'Tech. vertinimas'!$C9))</f>
        <v>-</v>
      </c>
      <c r="E15" s="36" t="str">
        <f>IF('Tech. vertinimas'!$B$13&lt;=2,"-",IF('Tech. vertinimas'!$C9=0,"-",E9/MAX(C9:I9)*'Tech. vertinimas'!$C9))</f>
        <v>-</v>
      </c>
      <c r="F15" s="36" t="str">
        <f>IF('Tech. vertinimas'!$B$13&lt;=3,"-",IF('Tech. vertinimas'!$C9=0,"-",F9/MAX(C9:I9)*'Tech. vertinimas'!$C9))</f>
        <v>-</v>
      </c>
      <c r="G15" s="36" t="str">
        <f>IF('Tech. vertinimas'!$B$13&lt;=4,"-",IF('Tech. vertinimas'!$C9=0,"-",G9/MAX(C9:I9)*'Tech. vertinimas'!$C9))</f>
        <v>-</v>
      </c>
      <c r="H15" s="36" t="str">
        <f>IF('Tech. vertinimas'!$B$13&lt;=5,"-",IF('Tech. vertinimas'!$C9=0,"-",H9/MAX(C9:I9)*'Tech. vertinimas'!$C9))</f>
        <v>-</v>
      </c>
      <c r="I15" s="38" t="str">
        <f>IF('Tech. vertinimas'!$B$13&lt;=6,"-",IF('Tech. vertinimas'!$C9=0,"-",I9/MAX(C9:I9)*'Tech. vertinimas'!$C9))</f>
        <v>-</v>
      </c>
    </row>
    <row r="16" spans="1:9" ht="15">
      <c r="A16" s="85"/>
      <c r="B16" s="51" t="s">
        <v>42</v>
      </c>
      <c r="C16" s="35">
        <f>IF('Tech. vertinimas'!$C10=0,"-",MIN($C$10:$I$10)/C10*'Tech. vertinimas'!$C$10)</f>
        <v>80</v>
      </c>
      <c r="D16" s="36">
        <f>IF('Tech. vertinimas'!$C10=0,"-",MIN($C$10:$I$10)/D10*'Tech. vertinimas'!$C$10)</f>
        <v>70</v>
      </c>
      <c r="E16" s="36" t="e">
        <f>IF('Tech. vertinimas'!$C10=0,"-",MIN($C$10:$I$10)/E10*'Tech. vertinimas'!$C$10)</f>
        <v>#VALUE!</v>
      </c>
      <c r="F16" s="36" t="e">
        <f>IF('Tech. vertinimas'!$C10=0,"-",MIN($C$10:$I$10)/F10*'Tech. vertinimas'!$C$10)</f>
        <v>#VALUE!</v>
      </c>
      <c r="G16" s="36" t="e">
        <f>IF('Tech. vertinimas'!$C10=0,"-",MIN($C$10:$I$10)/G10*'Tech. vertinimas'!$C$10)</f>
        <v>#VALUE!</v>
      </c>
      <c r="H16" s="36" t="e">
        <f>IF('Tech. vertinimas'!$C10=0,"-",MIN($C$10:$I$10)/H10*'Tech. vertinimas'!$C$10)</f>
        <v>#VALUE!</v>
      </c>
      <c r="I16" s="38" t="e">
        <f>IF('Tech. vertinimas'!$C10=0,"-",MIN($C$10:$I$10)/I10*'Tech. vertinimas'!$C$10)</f>
        <v>#VALUE!</v>
      </c>
    </row>
    <row r="17" spans="1:9" ht="15.75" thickBot="1">
      <c r="A17" s="85"/>
      <c r="B17" s="52" t="s">
        <v>66</v>
      </c>
      <c r="C17" s="35" t="str">
        <f>IF('Tech. vertinimas'!$C11=0,"-",MIN(C11:I11)/C11*'Tech. vertinimas'!$C$11)</f>
        <v>-</v>
      </c>
      <c r="D17" s="36" t="str">
        <f>IF('Tech. vertinimas'!$C11=0,"-",MIN(C11:I11)/D11*'Tech. vertinimas'!$C$11)</f>
        <v>-</v>
      </c>
      <c r="E17" s="36" t="str">
        <f>IF('Tech. vertinimas'!$C11=0,"-",MIN(C11:I11)/E11*'Tech. vertinimas'!$C$11)</f>
        <v>-</v>
      </c>
      <c r="F17" s="36" t="str">
        <f>IF('Tech. vertinimas'!$C11=0,"-",MIN(C11:I11)/F11*'Tech. vertinimas'!$C$11)</f>
        <v>-</v>
      </c>
      <c r="G17" s="36" t="str">
        <f>IF('Tech. vertinimas'!$C11=0,"-",MIN(C11:I11)/G11*'Tech. vertinimas'!$C$11)</f>
        <v>-</v>
      </c>
      <c r="H17" s="36" t="str">
        <f>IF('Tech. vertinimas'!$C11=0,"-",MIN(C11:I11)/H11*'Tech. vertinimas'!$C$11)</f>
        <v>-</v>
      </c>
      <c r="I17" s="38" t="str">
        <f>IF('Tech. vertinimas'!$C11=0,"-",MIN(C11:I11)/I11*'Tech. vertinimas'!$C$11)</f>
        <v>-</v>
      </c>
    </row>
    <row r="18" spans="1:9" ht="13.5" thickBot="1">
      <c r="A18" s="53" t="s">
        <v>44</v>
      </c>
      <c r="B18" s="54" t="s">
        <v>10</v>
      </c>
      <c r="C18" s="55">
        <f>SUM(C12:C17)</f>
        <v>80</v>
      </c>
      <c r="D18" s="56">
        <f>IF('Tech. vertinimas'!$B$13=1,"-",SUM(D12:D17))</f>
        <v>70</v>
      </c>
      <c r="E18" s="56" t="str">
        <f>IF('Tech. vertinimas'!$B$13&lt;=2,"-",SUM(E12:E17))</f>
        <v>-</v>
      </c>
      <c r="F18" s="57" t="str">
        <f>IF('Tech. vertinimas'!$B$13&lt;=3,"-",SUM(F12:F17))</f>
        <v>-</v>
      </c>
      <c r="G18" s="57" t="str">
        <f>IF('Tech. vertinimas'!$B$13&lt;=4,"-",SUM(G12:G17))</f>
        <v>-</v>
      </c>
      <c r="H18" s="57" t="str">
        <f>IF('Tech. vertinimas'!$B$13&lt;=5,"-",SUM(H12:H17))</f>
        <v>-</v>
      </c>
      <c r="I18" s="58" t="str">
        <f>IF('Tech. vertinimas'!$B$13&lt;=6,"-",SUM(I12:I17))</f>
        <v>-</v>
      </c>
    </row>
    <row r="19" spans="1:9" ht="15.75" thickBot="1">
      <c r="A19" s="59" t="s">
        <v>32</v>
      </c>
      <c r="B19" s="60" t="s">
        <v>11</v>
      </c>
      <c r="C19" s="122">
        <v>1800</v>
      </c>
      <c r="D19" s="123">
        <v>1000</v>
      </c>
      <c r="E19" s="123"/>
      <c r="F19" s="123"/>
      <c r="G19" s="123"/>
      <c r="H19" s="124"/>
      <c r="I19" s="125"/>
    </row>
    <row r="20" spans="1:9" ht="13.5" thickBot="1">
      <c r="A20" s="61" t="s">
        <v>34</v>
      </c>
      <c r="B20" s="54" t="s">
        <v>12</v>
      </c>
      <c r="C20" s="25">
        <f>MIN(C19:I19)/C19*'Tech. vertinimas'!$C$5</f>
        <v>11.11111111111111</v>
      </c>
      <c r="D20" s="26">
        <f>IF('Tech. vertinimas'!$B$13=1,"-",MIN(C19:I19)/D19*'Tech. vertinimas'!$C$5)</f>
        <v>20</v>
      </c>
      <c r="E20" s="26" t="str">
        <f>IF('Tech. vertinimas'!$B$13&lt;=2,"-",MIN(C19:I19)/E19*'Tech. vertinimas'!$C$5)</f>
        <v>-</v>
      </c>
      <c r="F20" s="27" t="str">
        <f>IF('Tech. vertinimas'!$B$13&lt;=3,"-",MIN(C19:I19)/F19*'Tech. vertinimas'!$C$5)</f>
        <v>-</v>
      </c>
      <c r="G20" s="27" t="str">
        <f>IF('Tech. vertinimas'!$B$13&lt;=4,"-",MIN(C19:I19)/G19*'Tech. vertinimas'!$C$5)</f>
        <v>-</v>
      </c>
      <c r="H20" s="27" t="str">
        <f>IF('Tech. vertinimas'!$B$13&lt;=5,"-",MIN(C19:I19)/H19*'Tech. vertinimas'!$C$5)</f>
        <v>-</v>
      </c>
      <c r="I20" s="28" t="str">
        <f>IF('Tech. vertinimas'!$B$13&lt;=6,"-",MIN(C19:I19)/I19*'Tech. vertinimas'!$C$5)</f>
        <v>-</v>
      </c>
    </row>
    <row r="21" spans="1:9" ht="13.5" thickBot="1">
      <c r="A21" s="62" t="s">
        <v>33</v>
      </c>
      <c r="B21" s="63" t="s">
        <v>13</v>
      </c>
      <c r="C21" s="126">
        <f>SUM(C18,C20)</f>
        <v>91.11111111111111</v>
      </c>
      <c r="D21" s="127">
        <f>IF('Tech. vertinimas'!$B$13=1,"-",SUM(D18,D20))</f>
        <v>90</v>
      </c>
      <c r="E21" s="127" t="str">
        <f>IF('Tech. vertinimas'!$B$13&lt;=2,"-",SUM(E18,E20))</f>
        <v>-</v>
      </c>
      <c r="F21" s="128" t="str">
        <f>IF('Tech. vertinimas'!$B$13&lt;=3,"-",SUM(F18,F20))</f>
        <v>-</v>
      </c>
      <c r="G21" s="128" t="str">
        <f>IF('Tech. vertinimas'!$B$13&lt;=4,"-",SUM(G18,G20))</f>
        <v>-</v>
      </c>
      <c r="H21" s="128" t="str">
        <f>IF('Tech. vertinimas'!$B$13&lt;=5,"-",SUM(H18,H20))</f>
        <v>-</v>
      </c>
      <c r="I21" s="129" t="str">
        <f>IF('Tech. vertinimas'!$B$13&lt;=6,"-",SUM(I18,I20))</f>
        <v>-</v>
      </c>
    </row>
  </sheetData>
  <sheetProtection/>
  <mergeCells count="3">
    <mergeCell ref="A6:A11"/>
    <mergeCell ref="A12:A17"/>
    <mergeCell ref="A3:F3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CPMA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Jurgita</dc:creator>
  <cp:keywords/>
  <dc:description/>
  <cp:lastModifiedBy>Žilvaras Gelumbauskas</cp:lastModifiedBy>
  <cp:lastPrinted>2006-02-23T13:55:12Z</cp:lastPrinted>
  <dcterms:created xsi:type="dcterms:W3CDTF">2005-05-27T10:21:52Z</dcterms:created>
  <dcterms:modified xsi:type="dcterms:W3CDTF">2015-12-16T20:02:06Z</dcterms:modified>
  <cp:category/>
  <cp:version/>
  <cp:contentType/>
  <cp:contentStatus/>
</cp:coreProperties>
</file>